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PaulAyers\Dropbox\INFRAPIPE KNOWLEDGE BASE\Calculators\"/>
    </mc:Choice>
  </mc:AlternateContent>
  <xr:revisionPtr revIDLastSave="0" documentId="13_ncr:1_{9D1CD188-7451-48CF-BBFF-9EDCB7FF0C32}" xr6:coauthVersionLast="47" xr6:coauthVersionMax="47" xr10:uidLastSave="{00000000-0000-0000-0000-000000000000}"/>
  <bookViews>
    <workbookView xWindow="44880" yWindow="-120" windowWidth="51840" windowHeight="21120" activeTab="1" xr2:uid="{00000000-000D-0000-FFFF-FFFF00000000}"/>
  </bookViews>
  <sheets>
    <sheet name="Pipe_Buoyancy" sheetId="2" r:id="rId1"/>
    <sheet name="Output Sheet" sheetId="3" r:id="rId2"/>
  </sheets>
  <definedNames>
    <definedName name="_xlnm.Print_Area" localSheetId="0">Pipe_Buoyancy!$A$1:$E$37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3" l="1"/>
  <c r="B23" i="2"/>
  <c r="B24" i="2"/>
  <c r="E41" i="2" s="1"/>
  <c r="B21" i="3"/>
  <c r="E45" i="2"/>
  <c r="B10" i="3"/>
  <c r="B6" i="3"/>
  <c r="B5" i="3"/>
  <c r="I17" i="2"/>
  <c r="I16" i="2"/>
  <c r="B32" i="3"/>
  <c r="B33" i="3" s="1"/>
  <c r="B12" i="3"/>
  <c r="B17" i="3"/>
  <c r="B23" i="3"/>
  <c r="B15" i="3"/>
  <c r="B9" i="3"/>
  <c r="B13" i="3" s="1"/>
  <c r="E21" i="2"/>
  <c r="E12" i="2"/>
  <c r="E22" i="2" l="1"/>
  <c r="G22" i="2" s="1"/>
  <c r="E9" i="2"/>
  <c r="E13" i="2" s="1"/>
  <c r="E14" i="2" s="1"/>
  <c r="E23" i="2"/>
  <c r="H24" i="2" s="1"/>
  <c r="B11" i="3"/>
  <c r="B16" i="3" s="1"/>
  <c r="G25" i="2"/>
  <c r="H25" i="2" s="1"/>
  <c r="I25" i="2" s="1"/>
  <c r="E11" i="2" l="1"/>
  <c r="I24" i="2"/>
  <c r="G24" i="2"/>
  <c r="E15" i="2"/>
  <c r="E16" i="2"/>
  <c r="E17" i="2" s="1"/>
  <c r="E20" i="2" s="1"/>
  <c r="B26" i="3" l="1"/>
  <c r="E42" i="2"/>
  <c r="E25" i="2"/>
  <c r="B19" i="3"/>
  <c r="E24" i="2"/>
  <c r="E27" i="2"/>
  <c r="B27" i="3" s="1"/>
  <c r="H27" i="2" l="1"/>
  <c r="G27" i="2"/>
  <c r="I27" i="2"/>
  <c r="I26" i="2"/>
  <c r="I22" i="2"/>
  <c r="H22" i="2"/>
  <c r="H28" i="2"/>
  <c r="G28" i="2"/>
  <c r="I28" i="2"/>
  <c r="G29" i="2" l="1"/>
  <c r="H29" i="2"/>
  <c r="I29" i="2"/>
  <c r="E26" i="2" l="1"/>
  <c r="E28" i="2" s="1"/>
  <c r="B28" i="3" l="1"/>
  <c r="E29" i="2"/>
  <c r="E32" i="2" s="1"/>
  <c r="E36" i="2" s="1"/>
  <c r="E43" i="2"/>
  <c r="B37" i="3" s="1"/>
  <c r="B29" i="3"/>
  <c r="B30" i="3" l="1"/>
  <c r="E31" i="2"/>
  <c r="F30" i="2"/>
  <c r="E39" i="2" s="1"/>
  <c r="B35" i="3"/>
  <c r="E35" i="2" l="1"/>
  <c r="B36" i="3" s="1"/>
  <c r="F29" i="2"/>
  <c r="E38" i="2" s="1"/>
</calcChain>
</file>

<file path=xl/sharedStrings.xml><?xml version="1.0" encoding="utf-8"?>
<sst xmlns="http://schemas.openxmlformats.org/spreadsheetml/2006/main" count="148" uniqueCount="125">
  <si>
    <t>Calculations/Results</t>
  </si>
  <si>
    <t>Outside diameter Do (m)</t>
  </si>
  <si>
    <t>Groundwater table depth from surface (m) (0 = at surface)</t>
  </si>
  <si>
    <t>Wall thickness/Profile height (mm)</t>
  </si>
  <si>
    <t>Pipe Length (m)</t>
  </si>
  <si>
    <t>Depth to crown (m)</t>
  </si>
  <si>
    <t>PE Pipe</t>
  </si>
  <si>
    <t>PIpe ID (m)</t>
  </si>
  <si>
    <t>Include Soil weight (YES=1/ NO=0)</t>
  </si>
  <si>
    <t>Soil Density (kN/m³)</t>
  </si>
  <si>
    <t>Factor of Safety</t>
  </si>
  <si>
    <t>Concrete Density (kN/m³)</t>
  </si>
  <si>
    <t>PE Density (kN/m³)</t>
  </si>
  <si>
    <t>Gravity (m/s2)</t>
  </si>
  <si>
    <t>Water Density (kN/m³)</t>
  </si>
  <si>
    <t>Outer Radius (m)</t>
  </si>
  <si>
    <t>Submerged height (m)</t>
  </si>
  <si>
    <t>Water depth above bottom of tank (m)</t>
  </si>
  <si>
    <t>Tank bottom depth (m)</t>
  </si>
  <si>
    <t>Tank top depth (m)</t>
  </si>
  <si>
    <t>Cross section area (m2)</t>
  </si>
  <si>
    <t>Displaced volume (m3)</t>
  </si>
  <si>
    <t>Buoyant force (N)</t>
  </si>
  <si>
    <t>Weight of Tank (N)</t>
  </si>
  <si>
    <t>Soil weight contribution (N)</t>
  </si>
  <si>
    <t>Total Resisting weight (N)</t>
  </si>
  <si>
    <t>Required Resisting weight (N)</t>
  </si>
  <si>
    <t>Additional downward force required from anchor (N)</t>
  </si>
  <si>
    <t>Mass of Anchor (kg)</t>
  </si>
  <si>
    <t>Volume of Concrete required (m3)</t>
  </si>
  <si>
    <t>Volume of HDPE required (m3)</t>
  </si>
  <si>
    <t>Volume per metre length Concrete (m3/m)</t>
  </si>
  <si>
    <t>Volume per metre length PE (m3/m)</t>
  </si>
  <si>
    <t>Weight per meter length Concrete (kg/m)</t>
  </si>
  <si>
    <t>Weight per meter length PE (kg/m)</t>
  </si>
  <si>
    <t>Project:</t>
  </si>
  <si>
    <t>Easypipe Report Ref:</t>
  </si>
  <si>
    <t>Major Inputs</t>
  </si>
  <si>
    <t>Pipe ID</t>
  </si>
  <si>
    <t>Pipe Profile</t>
  </si>
  <si>
    <t>Wall Thickness</t>
  </si>
  <si>
    <t>Cover Depth Used</t>
  </si>
  <si>
    <t>Therefore, IL</t>
  </si>
  <si>
    <t>Pipe Weight/m</t>
  </si>
  <si>
    <t>Buoyancy proof - Pipe</t>
  </si>
  <si>
    <t>Safety Factor</t>
  </si>
  <si>
    <t>mm</t>
  </si>
  <si>
    <t>kgs</t>
  </si>
  <si>
    <t>kN/m³</t>
  </si>
  <si>
    <t>Buoyant Forces</t>
  </si>
  <si>
    <t>Pipe &amp; soil weight</t>
  </si>
  <si>
    <t>Mitigation required</t>
  </si>
  <si>
    <t>kN</t>
  </si>
  <si>
    <t>With Safety factor</t>
  </si>
  <si>
    <t>Checksum</t>
  </si>
  <si>
    <t xml:space="preserve">Weight of mitigation </t>
  </si>
  <si>
    <t>m³</t>
  </si>
  <si>
    <t>Internal Volume</t>
  </si>
  <si>
    <t>m³/m</t>
  </si>
  <si>
    <t>This report is produced for preliminary design, costing and feasibility studies. Nothing in this report affects the requirement for a final calculation by an appropriately qualified person</t>
  </si>
  <si>
    <t>This proof relies on the information supplied to INFRAPIPE; INFRAPIPE does not conduct site investigations</t>
  </si>
  <si>
    <t>Calculations - per linear metre</t>
  </si>
  <si>
    <r>
      <t xml:space="preserve">For further detail refer to the "INFRAPIPE Pipe &amp; Trench Design Manual" and the "INFRAPIPE </t>
    </r>
    <r>
      <rPr>
        <i/>
        <sz val="8"/>
        <color theme="1"/>
        <rFont val="Montserrat"/>
      </rPr>
      <t>Easypipe, Mickey</t>
    </r>
    <r>
      <rPr>
        <sz val="8"/>
        <color theme="1"/>
        <rFont val="Montserrat"/>
      </rPr>
      <t xml:space="preserve"> &amp; Buoyancy Report Guide" available at www.infrapipe.co.nz</t>
    </r>
  </si>
  <si>
    <t>Standard example pipe</t>
  </si>
  <si>
    <t>Ground water Depth (0=surface)</t>
  </si>
  <si>
    <t>Weight above curvature (N)</t>
  </si>
  <si>
    <t>Use Widening material (geotextile or HDPE sheet)</t>
  </si>
  <si>
    <t>Y</t>
  </si>
  <si>
    <t>Widening soil contribution</t>
  </si>
  <si>
    <t>Total extra width m</t>
  </si>
  <si>
    <t>Is widening applied?</t>
  </si>
  <si>
    <t>Total width of widening</t>
  </si>
  <si>
    <t>Scenario? (1 = GWL&lt;spring, 3 = GWL&gt;crown, 2 in between)</t>
  </si>
  <si>
    <t>Scenarios:</t>
  </si>
  <si>
    <t>1 - below spring (purple)</t>
  </si>
  <si>
    <t>2 - between spring and crown (green)</t>
  </si>
  <si>
    <t>3 - above crown</t>
  </si>
  <si>
    <t>NET Saturated Soil density</t>
  </si>
  <si>
    <t>wet contribution</t>
  </si>
  <si>
    <t>dry contribution</t>
  </si>
  <si>
    <t>widening contribution</t>
  </si>
  <si>
    <t>wet % age</t>
  </si>
  <si>
    <t>widened wet % age</t>
  </si>
  <si>
    <t>Total</t>
  </si>
  <si>
    <t>If the checksum is negative, no mitigation is required. If it is zero, then the mitigation is needed.</t>
  </si>
  <si>
    <t>This report and other related materials supplied by INFRAPIPE are proprietary and confidential to INFRAPIPE.                                         They may not be used in the assessment, presentation or specification of products not supplied by INFRAPIPE.</t>
  </si>
  <si>
    <t>Volume of concrete per linear metre</t>
  </si>
  <si>
    <t>All data is per linear metre of pipe/tank</t>
  </si>
  <si>
    <t>Demo DN1000</t>
  </si>
  <si>
    <t>Strap width for mitigation</t>
  </si>
  <si>
    <t>Concrete Pavement Density</t>
  </si>
  <si>
    <t>Trenchfill Density</t>
  </si>
  <si>
    <t>Concrete pavement thickness m</t>
  </si>
  <si>
    <t>Weight of concrete pavement</t>
  </si>
  <si>
    <t>concrete pavement weight</t>
  </si>
  <si>
    <t>Strap angle degrees (vertical = 90, horiz = 0)</t>
  </si>
  <si>
    <t>Strap circumference (mm)</t>
  </si>
  <si>
    <t>Minimum strap width mm per m</t>
  </si>
  <si>
    <t>GWL&lt;spring</t>
  </si>
  <si>
    <t>GWL&gt;crown</t>
  </si>
  <si>
    <t>in between</t>
  </si>
  <si>
    <t>concrete relief from buoyancy</t>
  </si>
  <si>
    <t>M</t>
  </si>
  <si>
    <t>MM</t>
  </si>
  <si>
    <t>KG</t>
  </si>
  <si>
    <t>KNM3</t>
  </si>
  <si>
    <t>KNM4</t>
  </si>
  <si>
    <t>KNM5</t>
  </si>
  <si>
    <t>MS2</t>
  </si>
  <si>
    <t>DEGREES</t>
  </si>
  <si>
    <t>STD DN1000</t>
  </si>
  <si>
    <t>Buoyant force - mm2 required</t>
  </si>
  <si>
    <t>Concrete Pavement Depth</t>
  </si>
  <si>
    <t>Pipe Number</t>
  </si>
  <si>
    <t>Pipe OD m</t>
  </si>
  <si>
    <t xml:space="preserve">Pipe weight (kg) </t>
  </si>
  <si>
    <r>
      <t>Saturated Soil Density (kN/m³</t>
    </r>
    <r>
      <rPr>
        <sz val="7.7"/>
        <color theme="1"/>
        <rFont val="Montserrat"/>
      </rPr>
      <t>)</t>
    </r>
  </si>
  <si>
    <t>Y or NO</t>
  </si>
  <si>
    <t>Standard</t>
  </si>
  <si>
    <t>1 or 0</t>
  </si>
  <si>
    <t>1, 2 or 3</t>
  </si>
  <si>
    <t>M (fixed)</t>
  </si>
  <si>
    <t>Inputs for buoyancy proof</t>
  </si>
  <si>
    <t>Buoyancy need not be considered on an open-ended pipe (culvert)</t>
  </si>
  <si>
    <r>
      <t xml:space="preserve">This proof should be read in conjunction with the relevant </t>
    </r>
    <r>
      <rPr>
        <i/>
        <sz val="8"/>
        <color theme="1"/>
        <rFont val="Montserrat"/>
      </rPr>
      <t>Easypipe or Pipespec</t>
    </r>
    <r>
      <rPr>
        <sz val="8"/>
        <color theme="1"/>
        <rFont val="Montserrat"/>
      </rPr>
      <t xml:space="preserve"> Report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</si>
</sst>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1"/>
      <color rgb="FF3F3F76"/>
      <name val="Calibri"/>
      <family val="2"/>
      <scheme val="minor"/>
    </font>
    <font>
      <b/>
      <sz val="11"/>
      <color rgb="FFFA7D00"/>
      <name val="Calibri"/>
      <family val="2"/>
      <scheme val="minor"/>
    </font>
    <font>
      <sz val="11"/>
      <color theme="1"/>
      <name val="Montserrat"/>
    </font>
    <font>
      <sz val="11"/>
      <color rgb="FFFF0000"/>
      <name val="Calibri"/>
      <family val="2"/>
      <scheme val="minor"/>
    </font>
    <font>
      <sz val="11"/>
      <color rgb="FF006100"/>
      <name val="Calibri"/>
      <family val="2"/>
      <scheme val="minor"/>
    </font>
    <font>
      <i/>
      <sz val="11"/>
      <color theme="1"/>
      <name val="Montserrat"/>
    </font>
    <font>
      <sz val="10"/>
      <color theme="1"/>
      <name val="Montserrat"/>
    </font>
    <font>
      <sz val="18"/>
      <color theme="1"/>
      <name val="Montserrat"/>
    </font>
    <font>
      <b/>
      <sz val="10"/>
      <color theme="1"/>
      <name val="Montserrat"/>
    </font>
    <font>
      <sz val="8"/>
      <color theme="1"/>
      <name val="Montserrat"/>
    </font>
    <font>
      <i/>
      <sz val="8"/>
      <color theme="1"/>
      <name val="Montserrat"/>
    </font>
    <font>
      <sz val="11"/>
      <color theme="1"/>
      <name val="Calibri"/>
      <family val="2"/>
      <scheme val="minor"/>
    </font>
    <font>
      <sz val="7.7"/>
      <color theme="1"/>
      <name val="Montserrat"/>
    </font>
    <font>
      <b/>
      <sz val="10"/>
      <color theme="1"/>
      <name val="Montserrat Medium"/>
    </font>
    <font>
      <sz val="12"/>
      <color theme="1"/>
      <name val="Montserrat"/>
    </font>
    <font>
      <b/>
      <sz val="12"/>
      <color theme="1"/>
      <name val="Montserrat"/>
    </font>
    <font>
      <sz val="8"/>
      <name val="Calibri"/>
      <family val="2"/>
      <scheme val="minor"/>
    </font>
    <font>
      <b/>
      <sz val="14"/>
      <name val="Montserrat"/>
    </font>
    <font>
      <sz val="11"/>
      <color rgb="FF3F3F76"/>
      <name val="Montserrat"/>
    </font>
    <font>
      <b/>
      <sz val="12"/>
      <name val="Montserrat"/>
    </font>
    <font>
      <b/>
      <sz val="11"/>
      <color rgb="FFFA7D00"/>
      <name val="Montserrat"/>
    </font>
    <font>
      <sz val="11"/>
      <color rgb="FF006100"/>
      <name val="Montserrat"/>
    </font>
    <font>
      <b/>
      <i/>
      <sz val="12"/>
      <color rgb="FFFF0000"/>
      <name val="Montserrat"/>
    </font>
    <font>
      <b/>
      <sz val="11"/>
      <color rgb="FFFF0000"/>
      <name val="Montserrat"/>
    </font>
    <font>
      <sz val="18"/>
      <color theme="1"/>
      <name val="Montserrat semibold"/>
    </font>
    <font>
      <sz val="8"/>
      <color theme="1"/>
      <name val="Montserrat semibold"/>
    </font>
  </fonts>
  <fills count="6">
    <fill>
      <patternFill patternType="none"/>
    </fill>
    <fill>
      <patternFill patternType="gray125"/>
    </fill>
    <fill>
      <patternFill patternType="solid">
        <fgColor rgb="FFFFCC99"/>
      </patternFill>
    </fill>
    <fill>
      <patternFill patternType="solid">
        <fgColor rgb="FFF2F2F2"/>
      </patternFill>
    </fill>
    <fill>
      <patternFill patternType="solid">
        <fgColor rgb="FFC6EFCE"/>
      </patternFill>
    </fill>
    <fill>
      <patternFill patternType="solid">
        <fgColor theme="0" tint="-4.9989318521683403E-2"/>
        <bgColor indexed="64"/>
      </patternFill>
    </fill>
  </fills>
  <borders count="7">
    <border>
      <left/>
      <right/>
      <top/>
      <bottom/>
      <diagonal/>
    </border>
    <border>
      <left style="thin">
        <color rgb="FF7F7F7F"/>
      </left>
      <right style="thin">
        <color rgb="FF7F7F7F"/>
      </right>
      <top style="thin">
        <color rgb="FF7F7F7F"/>
      </top>
      <bottom style="thin">
        <color rgb="FF7F7F7F"/>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style="dotted">
        <color rgb="FF7F7F7F"/>
      </left>
      <right style="thin">
        <color rgb="FF7F7F7F"/>
      </right>
      <top style="thin">
        <color auto="1"/>
      </top>
      <bottom style="dotted">
        <color rgb="FF7F7F7F"/>
      </bottom>
      <diagonal/>
    </border>
    <border>
      <left style="dotted">
        <color rgb="FF7F7F7F"/>
      </left>
      <right style="thin">
        <color rgb="FF7F7F7F"/>
      </right>
      <top style="dotted">
        <color rgb="FF7F7F7F"/>
      </top>
      <bottom style="dotted">
        <color rgb="FF7F7F7F"/>
      </bottom>
      <diagonal/>
    </border>
  </borders>
  <cellStyleXfs count="6">
    <xf numFmtId="0" fontId="0" fillId="0" borderId="0"/>
    <xf numFmtId="0" fontId="1" fillId="2" borderId="1" applyNumberFormat="0" applyAlignment="0" applyProtection="0"/>
    <xf numFmtId="0" fontId="2" fillId="3" borderId="1" applyNumberFormat="0" applyAlignment="0" applyProtection="0"/>
    <xf numFmtId="0" fontId="4" fillId="0" borderId="0" applyNumberFormat="0" applyFill="0" applyBorder="0" applyAlignment="0" applyProtection="0"/>
    <xf numFmtId="0" fontId="5" fillId="4" borderId="0" applyNumberFormat="0" applyBorder="0" applyAlignment="0" applyProtection="0"/>
    <xf numFmtId="9" fontId="12" fillId="0" borderId="0" applyFont="0" applyFill="0" applyBorder="0" applyAlignment="0" applyProtection="0"/>
  </cellStyleXfs>
  <cellXfs count="37">
    <xf numFmtId="0" fontId="0" fillId="0" borderId="0" xfId="0"/>
    <xf numFmtId="0" fontId="3" fillId="0" borderId="0" xfId="0" applyFont="1"/>
    <xf numFmtId="0" fontId="6" fillId="0" borderId="0" xfId="0" applyFont="1"/>
    <xf numFmtId="0" fontId="7" fillId="0" borderId="0" xfId="0" applyFont="1"/>
    <xf numFmtId="0" fontId="8" fillId="0" borderId="0" xfId="0" applyFont="1"/>
    <xf numFmtId="0" fontId="9" fillId="0" borderId="0" xfId="0" applyFont="1"/>
    <xf numFmtId="1" fontId="7" fillId="0" borderId="0" xfId="0" applyNumberFormat="1" applyFont="1"/>
    <xf numFmtId="2" fontId="7" fillId="0" borderId="0" xfId="0" applyNumberFormat="1" applyFont="1"/>
    <xf numFmtId="0" fontId="10" fillId="0" borderId="0" xfId="0" applyFont="1"/>
    <xf numFmtId="0" fontId="10" fillId="0" borderId="0" xfId="0" applyFont="1" applyAlignment="1">
      <alignment wrapText="1"/>
    </xf>
    <xf numFmtId="0" fontId="10" fillId="0" borderId="0" xfId="0" applyFont="1" applyAlignment="1">
      <alignment vertical="top" wrapText="1"/>
    </xf>
    <xf numFmtId="0" fontId="7" fillId="0" borderId="0" xfId="0" applyFont="1" applyAlignment="1">
      <alignment horizontal="right"/>
    </xf>
    <xf numFmtId="0" fontId="14" fillId="0" borderId="0" xfId="0" applyFont="1"/>
    <xf numFmtId="0" fontId="16" fillId="0" borderId="0" xfId="0" applyFont="1"/>
    <xf numFmtId="0" fontId="15" fillId="0" borderId="0" xfId="0" applyFont="1"/>
    <xf numFmtId="0" fontId="15" fillId="5" borderId="0" xfId="0" applyFont="1" applyFill="1"/>
    <xf numFmtId="0" fontId="18" fillId="0" borderId="0" xfId="0" applyFont="1" applyAlignment="1">
      <alignment horizontal="center"/>
    </xf>
    <xf numFmtId="0" fontId="20" fillId="0" borderId="0" xfId="0" applyFont="1"/>
    <xf numFmtId="0" fontId="21" fillId="3" borderId="1" xfId="2" applyFont="1" applyAlignment="1">
      <alignment horizontal="center"/>
    </xf>
    <xf numFmtId="9" fontId="3" fillId="0" borderId="0" xfId="5" applyFont="1"/>
    <xf numFmtId="0" fontId="3" fillId="0" borderId="0" xfId="0" applyFont="1" applyAlignment="1">
      <alignment horizontal="right"/>
    </xf>
    <xf numFmtId="0" fontId="3" fillId="5" borderId="0" xfId="0" applyFont="1" applyFill="1"/>
    <xf numFmtId="0" fontId="22" fillId="4" borderId="0" xfId="4" applyFont="1"/>
    <xf numFmtId="0" fontId="23" fillId="3" borderId="1" xfId="3" applyFont="1" applyFill="1" applyBorder="1" applyAlignment="1">
      <alignment horizontal="center"/>
    </xf>
    <xf numFmtId="0" fontId="23" fillId="3" borderId="0" xfId="3" applyFont="1" applyFill="1" applyBorder="1" applyAlignment="1">
      <alignment horizontal="center"/>
    </xf>
    <xf numFmtId="0" fontId="24" fillId="0" borderId="0" xfId="3" applyFont="1" applyBorder="1" applyAlignment="1">
      <alignment horizontal="center"/>
    </xf>
    <xf numFmtId="0" fontId="19" fillId="2" borderId="5" xfId="1" applyFont="1" applyBorder="1" applyAlignment="1">
      <alignment horizontal="center"/>
    </xf>
    <xf numFmtId="0" fontId="19" fillId="2" borderId="6" xfId="1" applyFont="1" applyBorder="1" applyAlignment="1">
      <alignment horizontal="center"/>
    </xf>
    <xf numFmtId="0" fontId="19" fillId="5" borderId="2" xfId="1" applyFont="1" applyFill="1" applyBorder="1" applyAlignment="1" applyProtection="1">
      <alignment horizontal="center"/>
      <protection locked="0"/>
    </xf>
    <xf numFmtId="0" fontId="19" fillId="5" borderId="3" xfId="1" applyFont="1" applyFill="1" applyBorder="1" applyAlignment="1" applyProtection="1">
      <alignment horizontal="center"/>
      <protection locked="0"/>
    </xf>
    <xf numFmtId="0" fontId="19" fillId="5" borderId="4" xfId="1" applyFont="1" applyFill="1" applyBorder="1" applyAlignment="1" applyProtection="1">
      <alignment horizontal="center"/>
      <protection locked="0"/>
    </xf>
    <xf numFmtId="0" fontId="15" fillId="5" borderId="0" xfId="0" applyFont="1" applyFill="1" applyProtection="1">
      <protection locked="0"/>
    </xf>
    <xf numFmtId="0" fontId="7" fillId="0" borderId="0" xfId="0" applyFont="1" applyAlignment="1">
      <alignment horizontal="left"/>
    </xf>
    <xf numFmtId="0" fontId="10" fillId="0" borderId="0" xfId="0" applyFont="1" applyAlignment="1">
      <alignment horizontal="left" vertical="center" wrapText="1"/>
    </xf>
    <xf numFmtId="0" fontId="21" fillId="3" borderId="3" xfId="2" applyFont="1" applyBorder="1" applyAlignment="1" applyProtection="1">
      <alignment horizontal="center"/>
    </xf>
    <xf numFmtId="0" fontId="25" fillId="0" borderId="0" xfId="0" applyFont="1"/>
    <xf numFmtId="0" fontId="26" fillId="0" borderId="0" xfId="0" applyFont="1" applyAlignment="1">
      <alignment horizontal="left" vertical="top" wrapText="1"/>
    </xf>
  </cellXfs>
  <cellStyles count="6">
    <cellStyle name="Calculation" xfId="2" builtinId="22"/>
    <cellStyle name="Good" xfId="4" builtinId="26"/>
    <cellStyle name="Input" xfId="1" builtinId="20"/>
    <cellStyle name="Normal" xfId="0" builtinId="0"/>
    <cellStyle name="Percent" xfId="5" builtinId="5"/>
    <cellStyle name="Warning Text" xfId="3" builtinId="11"/>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 Type="http://schemas.openxmlformats.org/officeDocument/2006/relationships/image" Target="../media/image3.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3338660</xdr:colOff>
      <xdr:row>0</xdr:row>
      <xdr:rowOff>104774</xdr:rowOff>
    </xdr:from>
    <xdr:to>
      <xdr:col>2</xdr:col>
      <xdr:colOff>1266597</xdr:colOff>
      <xdr:row>2</xdr:row>
      <xdr:rowOff>103558</xdr:rowOff>
    </xdr:to>
    <xdr:pic>
      <xdr:nvPicPr>
        <xdr:cNvPr id="2" name="Picture 1">
          <a:extLst>
            <a:ext uri="{FF2B5EF4-FFF2-40B4-BE49-F238E27FC236}">
              <a16:creationId xmlns:a16="http://schemas.microsoft.com/office/drawing/2014/main" id="{8D694ADE-849D-4B46-A51C-59B18C7E808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38660" y="104774"/>
          <a:ext cx="3584019" cy="548681"/>
        </a:xfrm>
        <a:prstGeom prst="rect">
          <a:avLst/>
        </a:prstGeom>
      </xdr:spPr>
    </xdr:pic>
    <xdr:clientData/>
  </xdr:twoCellAnchor>
  <xdr:twoCellAnchor>
    <xdr:from>
      <xdr:col>0</xdr:col>
      <xdr:colOff>0</xdr:colOff>
      <xdr:row>34</xdr:row>
      <xdr:rowOff>199883</xdr:rowOff>
    </xdr:from>
    <xdr:to>
      <xdr:col>3</xdr:col>
      <xdr:colOff>0</xdr:colOff>
      <xdr:row>44</xdr:row>
      <xdr:rowOff>39278</xdr:rowOff>
    </xdr:to>
    <xdr:pic>
      <xdr:nvPicPr>
        <xdr:cNvPr id="3" name="Picture 1">
          <a:extLst>
            <a:ext uri="{FF2B5EF4-FFF2-40B4-BE49-F238E27FC236}">
              <a16:creationId xmlns:a16="http://schemas.microsoft.com/office/drawing/2014/main" id="{D3151ECB-8A76-FABB-5C04-6EF0FEC04A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7299445"/>
          <a:ext cx="6942448" cy="19997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590550</xdr:colOff>
      <xdr:row>0</xdr:row>
      <xdr:rowOff>76200</xdr:rowOff>
    </xdr:from>
    <xdr:to>
      <xdr:col>7</xdr:col>
      <xdr:colOff>630237</xdr:colOff>
      <xdr:row>2</xdr:row>
      <xdr:rowOff>47295</xdr:rowOff>
    </xdr:to>
    <xdr:pic>
      <xdr:nvPicPr>
        <xdr:cNvPr id="2" name="Picture 1">
          <a:extLst>
            <a:ext uri="{FF2B5EF4-FFF2-40B4-BE49-F238E27FC236}">
              <a16:creationId xmlns:a16="http://schemas.microsoft.com/office/drawing/2014/main" id="{040B8B2C-429A-49A6-9365-A4E43B66EEA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14650" y="76200"/>
          <a:ext cx="3278187" cy="514020"/>
        </a:xfrm>
        <a:prstGeom prst="rect">
          <a:avLst/>
        </a:prstGeom>
      </xdr:spPr>
    </xdr:pic>
    <xdr:clientData/>
  </xdr:twoCellAnchor>
  <xdr:twoCellAnchor editAs="oneCell">
    <xdr:from>
      <xdr:col>4</xdr:col>
      <xdr:colOff>85725</xdr:colOff>
      <xdr:row>7</xdr:row>
      <xdr:rowOff>28574</xdr:rowOff>
    </xdr:from>
    <xdr:to>
      <xdr:col>7</xdr:col>
      <xdr:colOff>617790</xdr:colOff>
      <xdr:row>34</xdr:row>
      <xdr:rowOff>151373</xdr:rowOff>
    </xdr:to>
    <xdr:pic>
      <xdr:nvPicPr>
        <xdr:cNvPr id="4" name="Picture 3">
          <a:extLst>
            <a:ext uri="{FF2B5EF4-FFF2-40B4-BE49-F238E27FC236}">
              <a16:creationId xmlns:a16="http://schemas.microsoft.com/office/drawing/2014/main" id="{891BFE7E-2DC3-E149-1DA9-A78872BF435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14850" y="1371599"/>
          <a:ext cx="2475165" cy="552347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EF816-B96C-4CAF-B987-BB0A56973234}">
  <sheetPr>
    <pageSetUpPr fitToPage="1"/>
  </sheetPr>
  <dimension ref="A1:J45"/>
  <sheetViews>
    <sheetView zoomScale="97" zoomScaleNormal="97" workbookViewId="0">
      <selection activeCell="B9" sqref="B9"/>
    </sheetView>
  </sheetViews>
  <sheetFormatPr defaultRowHeight="16.5" x14ac:dyDescent="0.6"/>
  <cols>
    <col min="1" max="1" width="61.19921875" style="1" customWidth="1"/>
    <col min="2" max="3" width="18" style="1" customWidth="1"/>
    <col min="4" max="4" width="69.46484375" style="1" hidden="1" customWidth="1"/>
    <col min="5" max="9" width="18" style="1" hidden="1" customWidth="1"/>
    <col min="10" max="13" width="0" style="1" hidden="1" customWidth="1"/>
    <col min="14" max="16384" width="9.06640625" style="1"/>
  </cols>
  <sheetData>
    <row r="1" spans="1:9" ht="27" x14ac:dyDescent="0.95">
      <c r="A1" s="35" t="s">
        <v>122</v>
      </c>
    </row>
    <row r="4" spans="1:9" ht="18" x14ac:dyDescent="0.65">
      <c r="A4" s="13" t="s">
        <v>35</v>
      </c>
      <c r="B4" s="31" t="s">
        <v>63</v>
      </c>
      <c r="C4" s="15"/>
      <c r="D4" s="14"/>
      <c r="E4" s="14"/>
      <c r="F4" s="14"/>
      <c r="G4" s="14"/>
      <c r="H4" s="14"/>
    </row>
    <row r="5" spans="1:9" ht="18" x14ac:dyDescent="0.65">
      <c r="A5" s="13" t="s">
        <v>113</v>
      </c>
      <c r="B5" s="31" t="s">
        <v>88</v>
      </c>
      <c r="C5" s="14"/>
      <c r="D5" s="14"/>
      <c r="E5" s="14"/>
      <c r="F5" s="14"/>
      <c r="G5" s="14"/>
      <c r="H5" s="14"/>
    </row>
    <row r="6" spans="1:9" ht="21" x14ac:dyDescent="0.75">
      <c r="A6" s="13"/>
      <c r="B6" s="14"/>
      <c r="C6" s="14"/>
      <c r="D6" s="16" t="s">
        <v>6</v>
      </c>
    </row>
    <row r="7" spans="1:9" x14ac:dyDescent="0.6">
      <c r="A7" s="2" t="s">
        <v>123</v>
      </c>
    </row>
    <row r="8" spans="1:9" ht="18" x14ac:dyDescent="0.65">
      <c r="D8" s="17" t="s">
        <v>0</v>
      </c>
    </row>
    <row r="9" spans="1:9" x14ac:dyDescent="0.6">
      <c r="A9" s="1" t="s">
        <v>39</v>
      </c>
      <c r="B9" s="28" t="s">
        <v>110</v>
      </c>
      <c r="D9" s="1" t="s">
        <v>1</v>
      </c>
      <c r="E9" s="18">
        <f>B10+(2/1000*B24)</f>
        <v>1.1000000000000001</v>
      </c>
    </row>
    <row r="10" spans="1:9" x14ac:dyDescent="0.6">
      <c r="A10" s="1" t="s">
        <v>7</v>
      </c>
      <c r="B10" s="29">
        <v>1</v>
      </c>
      <c r="C10" s="1" t="s">
        <v>102</v>
      </c>
      <c r="E10" s="18"/>
    </row>
    <row r="11" spans="1:9" x14ac:dyDescent="0.6">
      <c r="A11" s="1" t="s">
        <v>114</v>
      </c>
      <c r="B11" s="29">
        <v>1.1000000000000001</v>
      </c>
      <c r="C11" s="1" t="s">
        <v>102</v>
      </c>
      <c r="D11" s="1" t="s">
        <v>15</v>
      </c>
      <c r="E11" s="18">
        <f>E9/2</f>
        <v>0.55000000000000004</v>
      </c>
    </row>
    <row r="12" spans="1:9" x14ac:dyDescent="0.6">
      <c r="A12" s="1" t="s">
        <v>4</v>
      </c>
      <c r="B12" s="34">
        <v>1</v>
      </c>
      <c r="C12" s="1" t="s">
        <v>121</v>
      </c>
      <c r="D12" s="1" t="s">
        <v>19</v>
      </c>
      <c r="E12" s="18">
        <f>B13</f>
        <v>0.6</v>
      </c>
    </row>
    <row r="13" spans="1:9" x14ac:dyDescent="0.6">
      <c r="A13" s="1" t="s">
        <v>5</v>
      </c>
      <c r="B13" s="29">
        <v>0.6</v>
      </c>
      <c r="C13" s="1" t="s">
        <v>102</v>
      </c>
      <c r="D13" s="1" t="s">
        <v>18</v>
      </c>
      <c r="E13" s="18">
        <f>B13+E9</f>
        <v>1.7000000000000002</v>
      </c>
    </row>
    <row r="14" spans="1:9" x14ac:dyDescent="0.6">
      <c r="A14" s="1" t="s">
        <v>2</v>
      </c>
      <c r="B14" s="29">
        <v>0</v>
      </c>
      <c r="C14" s="1" t="s">
        <v>102</v>
      </c>
      <c r="D14" s="1" t="s">
        <v>17</v>
      </c>
      <c r="E14" s="18">
        <f>MAX(0,E13-B14)</f>
        <v>1.7000000000000002</v>
      </c>
    </row>
    <row r="15" spans="1:9" x14ac:dyDescent="0.6">
      <c r="A15" s="1" t="s">
        <v>72</v>
      </c>
      <c r="B15" s="29">
        <v>2</v>
      </c>
      <c r="C15" s="1" t="s">
        <v>120</v>
      </c>
      <c r="D15" s="1" t="s">
        <v>16</v>
      </c>
      <c r="E15" s="18">
        <f>MIN(E9,E14)</f>
        <v>1.1000000000000001</v>
      </c>
    </row>
    <row r="16" spans="1:9" x14ac:dyDescent="0.6">
      <c r="A16" s="1" t="s">
        <v>115</v>
      </c>
      <c r="B16" s="29">
        <v>80</v>
      </c>
      <c r="C16" s="1" t="s">
        <v>104</v>
      </c>
      <c r="D16" s="1" t="s">
        <v>20</v>
      </c>
      <c r="E16" s="18">
        <f>(E9^2/4)*
(ACOS((E9-2*MIN(E14,E9))/E9)
-((E9-2*MIN(E14,E9))/E9)
*SQRT(1-((E9-2*MIN(E14,E9))/E9)^2))</f>
        <v>0.9503317777109126</v>
      </c>
      <c r="H16" s="1" t="s">
        <v>81</v>
      </c>
      <c r="I16" s="19">
        <f>IF(B14&gt;B13,"NIL",(B13-B14)/B13)</f>
        <v>1</v>
      </c>
    </row>
    <row r="17" spans="1:10" x14ac:dyDescent="0.6">
      <c r="A17" s="1" t="s">
        <v>8</v>
      </c>
      <c r="B17" s="29">
        <v>1</v>
      </c>
      <c r="C17" s="1" t="s">
        <v>119</v>
      </c>
      <c r="D17" s="1" t="s">
        <v>21</v>
      </c>
      <c r="E17" s="18">
        <f>E16*B12</f>
        <v>0.9503317777109126</v>
      </c>
      <c r="H17" s="1" t="s">
        <v>82</v>
      </c>
      <c r="I17" s="19">
        <f>IF(B14&gt;B13,"NIL",(B13-B14-0.15)/(B13-0.15))</f>
        <v>1</v>
      </c>
    </row>
    <row r="18" spans="1:10" x14ac:dyDescent="0.6">
      <c r="A18" s="1" t="s">
        <v>92</v>
      </c>
      <c r="B18" s="29">
        <v>0.15</v>
      </c>
      <c r="C18" s="1" t="s">
        <v>102</v>
      </c>
      <c r="E18" s="18"/>
      <c r="I18" s="19"/>
    </row>
    <row r="19" spans="1:10" x14ac:dyDescent="0.6">
      <c r="A19" s="1" t="s">
        <v>95</v>
      </c>
      <c r="B19" s="29">
        <v>45</v>
      </c>
      <c r="C19" s="1" t="s">
        <v>109</v>
      </c>
      <c r="E19" s="18"/>
      <c r="I19" s="19"/>
    </row>
    <row r="20" spans="1:10" x14ac:dyDescent="0.6">
      <c r="A20" s="1" t="s">
        <v>69</v>
      </c>
      <c r="B20" s="30">
        <v>0</v>
      </c>
      <c r="C20" s="1" t="s">
        <v>102</v>
      </c>
      <c r="D20" s="1" t="s">
        <v>22</v>
      </c>
      <c r="E20" s="18">
        <f>E17*B29*B28</f>
        <v>9322.7547393440527</v>
      </c>
      <c r="G20" s="20" t="s">
        <v>98</v>
      </c>
      <c r="H20" s="20" t="s">
        <v>100</v>
      </c>
      <c r="I20" s="20" t="s">
        <v>99</v>
      </c>
    </row>
    <row r="21" spans="1:10" x14ac:dyDescent="0.6">
      <c r="A21" s="1" t="s">
        <v>9</v>
      </c>
      <c r="B21" s="26">
        <v>1650</v>
      </c>
      <c r="C21" s="1" t="s">
        <v>105</v>
      </c>
      <c r="D21" s="1" t="s">
        <v>23</v>
      </c>
      <c r="E21" s="18">
        <f>B16*B28</f>
        <v>784.80000000000007</v>
      </c>
      <c r="G21" s="1">
        <v>1</v>
      </c>
      <c r="H21" s="1">
        <v>2</v>
      </c>
      <c r="I21" s="1">
        <v>3</v>
      </c>
    </row>
    <row r="22" spans="1:10" x14ac:dyDescent="0.6">
      <c r="A22" s="1" t="s">
        <v>116</v>
      </c>
      <c r="B22" s="27">
        <v>1950</v>
      </c>
      <c r="C22" s="1" t="s">
        <v>106</v>
      </c>
      <c r="D22" s="1" t="s">
        <v>65</v>
      </c>
      <c r="E22" s="18">
        <f>(0.5*(POWER((B10+((B24+B24)/1000)),2)-(POWER((B10+((B24+B24)/1000))/2,2)*3.14*B12)))*B21*B28</f>
        <v>2105.4589875000001</v>
      </c>
      <c r="G22" s="1">
        <f>E22</f>
        <v>2105.4589875000001</v>
      </c>
      <c r="H22" s="1">
        <f>(E22/B21)*B23</f>
        <v>1212.2339625000002</v>
      </c>
      <c r="I22" s="1">
        <f>(E22/B21)*B23</f>
        <v>1212.2339625000002</v>
      </c>
    </row>
    <row r="23" spans="1:10" x14ac:dyDescent="0.6">
      <c r="A23" s="1" t="s">
        <v>77</v>
      </c>
      <c r="B23" s="27">
        <f>B22-B29</f>
        <v>950</v>
      </c>
      <c r="C23" s="1" t="s">
        <v>107</v>
      </c>
      <c r="D23" s="1" t="s">
        <v>93</v>
      </c>
      <c r="E23" s="18">
        <f>(B20+((B24+B24)/1000)+B10)*B18*((B26-B21)*B28)</f>
        <v>1213.9875</v>
      </c>
    </row>
    <row r="24" spans="1:10" x14ac:dyDescent="0.6">
      <c r="A24" s="1" t="s">
        <v>3</v>
      </c>
      <c r="B24" s="27">
        <f>(B11-B10)*500</f>
        <v>50.000000000000043</v>
      </c>
      <c r="C24" s="1" t="s">
        <v>103</v>
      </c>
      <c r="D24" s="1" t="s">
        <v>24</v>
      </c>
      <c r="E24" s="18">
        <f>IF(B17=1,B21*B13*E9*B12*B28,0)</f>
        <v>10683.09</v>
      </c>
      <c r="G24" s="1">
        <f>$E23</f>
        <v>1213.9875</v>
      </c>
      <c r="H24" s="1">
        <f t="shared" ref="H24:I24" si="0">$E23</f>
        <v>1213.9875</v>
      </c>
      <c r="I24" s="1">
        <f t="shared" si="0"/>
        <v>1213.9875</v>
      </c>
      <c r="J24" s="1" t="s">
        <v>94</v>
      </c>
    </row>
    <row r="25" spans="1:10" x14ac:dyDescent="0.6">
      <c r="A25" s="1" t="s">
        <v>10</v>
      </c>
      <c r="B25" s="27">
        <v>1.25</v>
      </c>
      <c r="C25" s="1" t="s">
        <v>118</v>
      </c>
      <c r="D25" s="1" t="s">
        <v>68</v>
      </c>
      <c r="E25" s="18">
        <f>IF(B30="Y",(B20*(B13-0.15)*B21*B28),0)</f>
        <v>0</v>
      </c>
      <c r="G25" s="1">
        <f>(B20+B10+((B24+B24)/1000))*E45*(B22-B23)</f>
        <v>165</v>
      </c>
      <c r="H25" s="1">
        <f>G25</f>
        <v>165</v>
      </c>
      <c r="I25" s="1">
        <f>H25</f>
        <v>165</v>
      </c>
      <c r="J25" s="1" t="s">
        <v>101</v>
      </c>
    </row>
    <row r="26" spans="1:10" x14ac:dyDescent="0.6">
      <c r="A26" s="1" t="s">
        <v>11</v>
      </c>
      <c r="B26" s="27">
        <v>2400</v>
      </c>
      <c r="C26" s="1" t="s">
        <v>105</v>
      </c>
      <c r="D26" s="1" t="s">
        <v>25</v>
      </c>
      <c r="E26" s="18">
        <f ca="1">E21+OFFSET(F29,0,B15)</f>
        <v>14059.111462499999</v>
      </c>
      <c r="G26" s="21"/>
      <c r="H26" s="21"/>
      <c r="I26" s="1">
        <f>(((I16*E24)/B21)*B23)</f>
        <v>6150.87</v>
      </c>
      <c r="J26" s="1" t="s">
        <v>78</v>
      </c>
    </row>
    <row r="27" spans="1:10" x14ac:dyDescent="0.6">
      <c r="A27" s="1" t="s">
        <v>12</v>
      </c>
      <c r="B27" s="27">
        <v>950</v>
      </c>
      <c r="C27" s="1" t="s">
        <v>106</v>
      </c>
      <c r="D27" s="1" t="s">
        <v>26</v>
      </c>
      <c r="E27" s="18">
        <f>E20*B25</f>
        <v>11653.443424180066</v>
      </c>
      <c r="G27" s="1">
        <f>E24</f>
        <v>10683.09</v>
      </c>
      <c r="H27" s="1">
        <f>E24</f>
        <v>10683.09</v>
      </c>
      <c r="I27" s="1">
        <f>(1-I16)*E24</f>
        <v>0</v>
      </c>
      <c r="J27" s="1" t="s">
        <v>79</v>
      </c>
    </row>
    <row r="28" spans="1:10" x14ac:dyDescent="0.6">
      <c r="A28" s="1" t="s">
        <v>13</v>
      </c>
      <c r="B28" s="27">
        <v>9.81</v>
      </c>
      <c r="C28" s="1" t="s">
        <v>108</v>
      </c>
      <c r="D28" s="1" t="s">
        <v>27</v>
      </c>
      <c r="E28" s="18">
        <f ca="1">MAX(0,E27-E26)</f>
        <v>0</v>
      </c>
      <c r="G28" s="1">
        <f>E25</f>
        <v>0</v>
      </c>
      <c r="H28" s="1">
        <f>E25</f>
        <v>0</v>
      </c>
      <c r="I28" s="1">
        <f>IF(I17&gt;0,I17*E25,0)</f>
        <v>0</v>
      </c>
      <c r="J28" s="1" t="s">
        <v>80</v>
      </c>
    </row>
    <row r="29" spans="1:10" x14ac:dyDescent="0.6">
      <c r="A29" s="1" t="s">
        <v>14</v>
      </c>
      <c r="B29" s="27">
        <v>1000</v>
      </c>
      <c r="C29" s="1" t="s">
        <v>105</v>
      </c>
      <c r="D29" s="1" t="s">
        <v>28</v>
      </c>
      <c r="E29" s="18">
        <f ca="1">E28/B28</f>
        <v>0</v>
      </c>
      <c r="F29" s="22">
        <f ca="1">E31*B26</f>
        <v>0</v>
      </c>
      <c r="G29" s="1">
        <f>SUM(G22:G28)</f>
        <v>14167.536487500001</v>
      </c>
      <c r="H29" s="1">
        <f>SUM(H22:H28)</f>
        <v>13274.3114625</v>
      </c>
      <c r="I29" s="1">
        <f>SUM(I22:I28)</f>
        <v>8742.0914625000005</v>
      </c>
      <c r="J29" s="1" t="s">
        <v>83</v>
      </c>
    </row>
    <row r="30" spans="1:10" x14ac:dyDescent="0.6">
      <c r="A30" s="1" t="s">
        <v>66</v>
      </c>
      <c r="B30" s="27" t="s">
        <v>67</v>
      </c>
      <c r="C30" s="1" t="s">
        <v>117</v>
      </c>
      <c r="F30" s="22">
        <f ca="1">E32*B27</f>
        <v>0</v>
      </c>
    </row>
    <row r="31" spans="1:10" ht="18" x14ac:dyDescent="0.65">
      <c r="D31" s="2" t="s">
        <v>29</v>
      </c>
      <c r="E31" s="23">
        <f ca="1">E29/B26</f>
        <v>0</v>
      </c>
    </row>
    <row r="32" spans="1:10" ht="18" x14ac:dyDescent="0.65">
      <c r="A32" s="1" t="s">
        <v>73</v>
      </c>
      <c r="D32" s="2" t="s">
        <v>30</v>
      </c>
      <c r="E32" s="23">
        <f ca="1">E29/B28</f>
        <v>0</v>
      </c>
    </row>
    <row r="33" spans="1:5" x14ac:dyDescent="0.6">
      <c r="A33" s="1" t="s">
        <v>74</v>
      </c>
    </row>
    <row r="34" spans="1:5" x14ac:dyDescent="0.6">
      <c r="A34" s="1" t="s">
        <v>75</v>
      </c>
    </row>
    <row r="35" spans="1:5" ht="18" x14ac:dyDescent="0.65">
      <c r="A35" s="1" t="s">
        <v>76</v>
      </c>
      <c r="D35" s="2" t="s">
        <v>31</v>
      </c>
      <c r="E35" s="23">
        <f ca="1">E31/B12</f>
        <v>0</v>
      </c>
    </row>
    <row r="36" spans="1:5" ht="18" x14ac:dyDescent="0.65">
      <c r="D36" s="2" t="s">
        <v>32</v>
      </c>
      <c r="E36" s="23">
        <f ca="1">E32/B12</f>
        <v>0</v>
      </c>
    </row>
    <row r="38" spans="1:5" ht="18" x14ac:dyDescent="0.65">
      <c r="D38" s="2" t="s">
        <v>33</v>
      </c>
      <c r="E38" s="23">
        <f ca="1">F29/B12</f>
        <v>0</v>
      </c>
    </row>
    <row r="39" spans="1:5" ht="18" x14ac:dyDescent="0.65">
      <c r="D39" s="2" t="s">
        <v>34</v>
      </c>
      <c r="E39" s="23">
        <f ca="1">F30/B12</f>
        <v>0</v>
      </c>
    </row>
    <row r="40" spans="1:5" x14ac:dyDescent="0.6">
      <c r="D40" s="2"/>
    </row>
    <row r="41" spans="1:5" ht="18" x14ac:dyDescent="0.65">
      <c r="D41" s="2" t="s">
        <v>96</v>
      </c>
      <c r="E41" s="24">
        <f>(0.25+((2*B19)/90*0.25))*((B10+((B24+B24)/1000))*3.141)*1000</f>
        <v>1727.5500000000002</v>
      </c>
    </row>
    <row r="42" spans="1:5" x14ac:dyDescent="0.6">
      <c r="D42" s="1" t="s">
        <v>111</v>
      </c>
      <c r="E42" s="18">
        <f>E20/9</f>
        <v>1035.8616377048947</v>
      </c>
    </row>
    <row r="43" spans="1:5" x14ac:dyDescent="0.6">
      <c r="D43" s="1" t="s">
        <v>97</v>
      </c>
      <c r="E43" s="18" t="str">
        <f ca="1">IF(E28&gt;0,E42/E41,"N/A")</f>
        <v>N/A</v>
      </c>
    </row>
    <row r="44" spans="1:5" x14ac:dyDescent="0.6">
      <c r="E44" s="25"/>
    </row>
    <row r="45" spans="1:5" x14ac:dyDescent="0.6">
      <c r="E45" s="1">
        <f>IF(B14&lt;B18,B18-B14,0)</f>
        <v>0.15</v>
      </c>
    </row>
  </sheetData>
  <sheetProtection algorithmName="SHA-512" hashValue="V1i2zgsQj45QmL0eHkRzyKZlhzm+En96U8kwqJSpQ9EMyxlHA2u74LheLp50z0XRyScNZtu/FpaTHdu4gDdFSA==" saltValue="v7/YG+9CGXO+ytQVaJ3dcA==" spinCount="100000" sheet="1" objects="1" scenarios="1" selectLockedCells="1"/>
  <phoneticPr fontId="17" type="noConversion"/>
  <pageMargins left="0.74803149606299213" right="0.74803149606299213" top="0.98425196850393704" bottom="0.98425196850393704" header="0.51181102362204722" footer="0.51181102362204722"/>
  <pageSetup scale="6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3F600-D5D5-452D-9776-B3FB4B484C4C}">
  <dimension ref="A1:J48"/>
  <sheetViews>
    <sheetView tabSelected="1" workbookViewId="0">
      <selection activeCell="A43" sqref="A43:H44"/>
    </sheetView>
  </sheetViews>
  <sheetFormatPr defaultColWidth="9.06640625" defaultRowHeight="15.4" x14ac:dyDescent="0.55000000000000004"/>
  <cols>
    <col min="1" max="1" width="33.265625" style="3" customWidth="1"/>
    <col min="2" max="2" width="10.46484375" style="3" bestFit="1" customWidth="1"/>
    <col min="3" max="16384" width="9.06640625" style="3"/>
  </cols>
  <sheetData>
    <row r="1" spans="1:8" ht="27" x14ac:dyDescent="0.95">
      <c r="A1" s="4" t="s">
        <v>44</v>
      </c>
    </row>
    <row r="3" spans="1:8" x14ac:dyDescent="0.55000000000000004">
      <c r="A3" s="12" t="s">
        <v>87</v>
      </c>
    </row>
    <row r="5" spans="1:8" x14ac:dyDescent="0.55000000000000004">
      <c r="A5" s="5" t="s">
        <v>35</v>
      </c>
      <c r="B5" s="32" t="str">
        <f>Pipe_Buoyancy!$B$4</f>
        <v>Standard example pipe</v>
      </c>
      <c r="C5" s="32"/>
      <c r="D5" s="32"/>
      <c r="E5" s="32"/>
      <c r="F5" s="32"/>
      <c r="G5" s="32"/>
      <c r="H5" s="32"/>
    </row>
    <row r="6" spans="1:8" x14ac:dyDescent="0.55000000000000004">
      <c r="A6" s="5" t="s">
        <v>36</v>
      </c>
      <c r="B6" s="32" t="str">
        <f>Pipe_Buoyancy!$B$5</f>
        <v>Demo DN1000</v>
      </c>
      <c r="C6" s="32"/>
      <c r="D6" s="32"/>
      <c r="E6" s="32"/>
      <c r="F6" s="32"/>
      <c r="G6" s="32"/>
      <c r="H6" s="32"/>
    </row>
    <row r="8" spans="1:8" x14ac:dyDescent="0.55000000000000004">
      <c r="A8" s="5" t="s">
        <v>37</v>
      </c>
    </row>
    <row r="9" spans="1:8" x14ac:dyDescent="0.55000000000000004">
      <c r="A9" s="3" t="s">
        <v>38</v>
      </c>
      <c r="B9" s="3">
        <f>Pipe_Buoyancy!$B$10*1000</f>
        <v>1000</v>
      </c>
      <c r="C9" s="3" t="s">
        <v>46</v>
      </c>
    </row>
    <row r="10" spans="1:8" x14ac:dyDescent="0.55000000000000004">
      <c r="A10" s="3" t="s">
        <v>39</v>
      </c>
      <c r="B10" s="3" t="str">
        <f>Pipe_Buoyancy!$B$9</f>
        <v>STD DN1000</v>
      </c>
    </row>
    <row r="11" spans="1:8" x14ac:dyDescent="0.55000000000000004">
      <c r="A11" s="3" t="s">
        <v>40</v>
      </c>
      <c r="B11" s="6">
        <f>Pipe_Buoyancy!$B$24</f>
        <v>50.000000000000043</v>
      </c>
      <c r="C11" s="3" t="s">
        <v>46</v>
      </c>
    </row>
    <row r="12" spans="1:8" x14ac:dyDescent="0.55000000000000004">
      <c r="A12" s="3" t="s">
        <v>43</v>
      </c>
      <c r="B12" s="6">
        <f>Pipe_Buoyancy!$B$16/1</f>
        <v>80</v>
      </c>
      <c r="C12" s="3" t="s">
        <v>47</v>
      </c>
    </row>
    <row r="13" spans="1:8" x14ac:dyDescent="0.55000000000000004">
      <c r="A13" s="3" t="s">
        <v>57</v>
      </c>
      <c r="B13" s="7">
        <f>POWER((B9/2000),2)*3.14</f>
        <v>0.78500000000000003</v>
      </c>
      <c r="C13" s="3" t="s">
        <v>58</v>
      </c>
    </row>
    <row r="15" spans="1:8" x14ac:dyDescent="0.55000000000000004">
      <c r="A15" s="3" t="s">
        <v>41</v>
      </c>
      <c r="B15" s="3">
        <f>Pipe_Buoyancy!$B$13*1000</f>
        <v>600</v>
      </c>
      <c r="C15" s="3" t="s">
        <v>46</v>
      </c>
    </row>
    <row r="16" spans="1:8" x14ac:dyDescent="0.55000000000000004">
      <c r="A16" s="3" t="s">
        <v>42</v>
      </c>
      <c r="B16" s="6">
        <f>B15+B9+B11</f>
        <v>1650</v>
      </c>
      <c r="C16" s="3" t="s">
        <v>46</v>
      </c>
    </row>
    <row r="17" spans="1:3" x14ac:dyDescent="0.55000000000000004">
      <c r="A17" s="3" t="s">
        <v>64</v>
      </c>
      <c r="B17" s="3">
        <f>Pipe_Buoyancy!$B$14*1000</f>
        <v>0</v>
      </c>
      <c r="C17" s="3" t="s">
        <v>46</v>
      </c>
    </row>
    <row r="19" spans="1:3" x14ac:dyDescent="0.55000000000000004">
      <c r="A19" s="3" t="s">
        <v>91</v>
      </c>
      <c r="B19" s="3">
        <f>Pipe_Buoyancy!$B$21</f>
        <v>1650</v>
      </c>
      <c r="C19" s="3" t="s">
        <v>48</v>
      </c>
    </row>
    <row r="20" spans="1:3" x14ac:dyDescent="0.55000000000000004">
      <c r="A20" s="3" t="s">
        <v>90</v>
      </c>
      <c r="B20" s="3">
        <f>Pipe_Buoyancy!$B$26</f>
        <v>2400</v>
      </c>
      <c r="C20" s="3" t="s">
        <v>48</v>
      </c>
    </row>
    <row r="21" spans="1:3" x14ac:dyDescent="0.55000000000000004">
      <c r="A21" s="3" t="s">
        <v>112</v>
      </c>
      <c r="B21" s="3">
        <f>Pipe_Buoyancy!B18*1000</f>
        <v>150</v>
      </c>
      <c r="C21" s="3" t="s">
        <v>46</v>
      </c>
    </row>
    <row r="23" spans="1:3" x14ac:dyDescent="0.55000000000000004">
      <c r="A23" s="5" t="s">
        <v>45</v>
      </c>
      <c r="B23" s="5">
        <f>Pipe_Buoyancy!B25</f>
        <v>1.25</v>
      </c>
    </row>
    <row r="25" spans="1:3" x14ac:dyDescent="0.55000000000000004">
      <c r="A25" s="5" t="s">
        <v>61</v>
      </c>
    </row>
    <row r="26" spans="1:3" x14ac:dyDescent="0.55000000000000004">
      <c r="A26" s="3" t="s">
        <v>49</v>
      </c>
      <c r="B26" s="6">
        <f>Pipe_Buoyancy!E20/1000/1</f>
        <v>9.3227547393440524</v>
      </c>
      <c r="C26" s="3" t="s">
        <v>52</v>
      </c>
    </row>
    <row r="27" spans="1:3" x14ac:dyDescent="0.55000000000000004">
      <c r="A27" s="3" t="s">
        <v>53</v>
      </c>
      <c r="B27" s="6">
        <f>Pipe_Buoyancy!E27/1000/1</f>
        <v>11.653443424180066</v>
      </c>
      <c r="C27" s="3" t="s">
        <v>52</v>
      </c>
    </row>
    <row r="28" spans="1:3" x14ac:dyDescent="0.55000000000000004">
      <c r="A28" s="3" t="s">
        <v>50</v>
      </c>
      <c r="B28" s="6">
        <f ca="1">Pipe_Buoyancy!E26/1000/1</f>
        <v>14.059111462499999</v>
      </c>
      <c r="C28" s="3" t="s">
        <v>52</v>
      </c>
    </row>
    <row r="29" spans="1:3" x14ac:dyDescent="0.55000000000000004">
      <c r="A29" s="3" t="s">
        <v>51</v>
      </c>
      <c r="B29" s="6">
        <f ca="1">IF(Pipe_Buoyancy!E28/1000/1&gt;0,Pipe_Buoyancy!E28/1000/1,0)</f>
        <v>0</v>
      </c>
      <c r="C29" s="3" t="s">
        <v>52</v>
      </c>
    </row>
    <row r="30" spans="1:3" x14ac:dyDescent="0.55000000000000004">
      <c r="A30" s="3" t="s">
        <v>54</v>
      </c>
      <c r="B30" s="6">
        <f ca="1">B27-B28-B29</f>
        <v>-2.4056680383199325</v>
      </c>
      <c r="C30" s="3" t="s">
        <v>52</v>
      </c>
    </row>
    <row r="32" spans="1:3" x14ac:dyDescent="0.55000000000000004">
      <c r="A32" s="3" t="s">
        <v>70</v>
      </c>
      <c r="B32" s="11" t="str">
        <f>IF(Pipe_Buoyancy!B30="Y","Y","N")</f>
        <v>Y</v>
      </c>
    </row>
    <row r="33" spans="1:10" x14ac:dyDescent="0.55000000000000004">
      <c r="A33" s="3" t="s">
        <v>71</v>
      </c>
      <c r="B33" s="3">
        <f>IF(B32="Y",Pipe_Buoyancy!B20*1000,"N/A")</f>
        <v>0</v>
      </c>
      <c r="C33" s="3" t="s">
        <v>46</v>
      </c>
    </row>
    <row r="35" spans="1:10" x14ac:dyDescent="0.55000000000000004">
      <c r="A35" s="3" t="s">
        <v>55</v>
      </c>
      <c r="B35" s="6">
        <f ca="1">Pipe_Buoyancy!E29/1</f>
        <v>0</v>
      </c>
      <c r="C35" s="3" t="s">
        <v>47</v>
      </c>
    </row>
    <row r="36" spans="1:10" x14ac:dyDescent="0.55000000000000004">
      <c r="A36" s="3" t="s">
        <v>86</v>
      </c>
      <c r="B36" s="7">
        <f ca="1">Pipe_Buoyancy!E35</f>
        <v>0</v>
      </c>
      <c r="C36" s="3" t="s">
        <v>56</v>
      </c>
    </row>
    <row r="37" spans="1:10" x14ac:dyDescent="0.55000000000000004">
      <c r="A37" s="3" t="s">
        <v>89</v>
      </c>
      <c r="B37" s="7" t="str">
        <f ca="1">Pipe_Buoyancy!E43</f>
        <v>N/A</v>
      </c>
      <c r="C37" s="3" t="s">
        <v>46</v>
      </c>
    </row>
    <row r="39" spans="1:10" x14ac:dyDescent="0.55000000000000004">
      <c r="A39" s="3" t="s">
        <v>84</v>
      </c>
    </row>
    <row r="41" spans="1:10" x14ac:dyDescent="0.55000000000000004">
      <c r="A41" s="8" t="s">
        <v>60</v>
      </c>
      <c r="B41" s="8"/>
      <c r="C41" s="8"/>
      <c r="D41" s="8"/>
      <c r="E41" s="8"/>
      <c r="F41" s="8"/>
      <c r="G41" s="8"/>
      <c r="H41" s="8"/>
      <c r="I41" s="8"/>
      <c r="J41" s="8"/>
    </row>
    <row r="42" spans="1:10" x14ac:dyDescent="0.55000000000000004">
      <c r="A42" s="8" t="s">
        <v>124</v>
      </c>
      <c r="B42" s="8"/>
      <c r="C42" s="8"/>
      <c r="D42" s="8"/>
      <c r="E42" s="8"/>
      <c r="F42" s="8"/>
      <c r="G42" s="8"/>
      <c r="H42" s="8"/>
      <c r="I42" s="8"/>
      <c r="J42" s="8"/>
    </row>
    <row r="43" spans="1:10" ht="15.4" customHeight="1" x14ac:dyDescent="0.55000000000000004">
      <c r="A43" s="33" t="s">
        <v>62</v>
      </c>
      <c r="B43" s="33"/>
      <c r="C43" s="33"/>
      <c r="D43" s="33"/>
      <c r="E43" s="33"/>
      <c r="F43" s="33"/>
      <c r="G43" s="33"/>
      <c r="H43" s="33"/>
      <c r="I43" s="9"/>
      <c r="J43" s="9"/>
    </row>
    <row r="44" spans="1:10" x14ac:dyDescent="0.55000000000000004">
      <c r="A44" s="33"/>
      <c r="B44" s="33"/>
      <c r="C44" s="33"/>
      <c r="D44" s="33"/>
      <c r="E44" s="33"/>
      <c r="F44" s="33"/>
      <c r="G44" s="33"/>
      <c r="H44" s="33"/>
      <c r="I44" s="9"/>
      <c r="J44" s="9"/>
    </row>
    <row r="45" spans="1:10" ht="15.4" customHeight="1" x14ac:dyDescent="0.55000000000000004">
      <c r="A45" s="36" t="s">
        <v>59</v>
      </c>
      <c r="B45" s="36"/>
      <c r="C45" s="36"/>
      <c r="D45" s="36"/>
      <c r="E45" s="36"/>
      <c r="F45" s="36"/>
      <c r="G45" s="36"/>
      <c r="H45" s="36"/>
      <c r="I45" s="10"/>
      <c r="J45" s="10"/>
    </row>
    <row r="46" spans="1:10" x14ac:dyDescent="0.55000000000000004">
      <c r="A46" s="36"/>
      <c r="B46" s="36"/>
      <c r="C46" s="36"/>
      <c r="D46" s="36"/>
      <c r="E46" s="36"/>
      <c r="F46" s="36"/>
      <c r="G46" s="36"/>
      <c r="H46" s="36"/>
      <c r="I46" s="10"/>
      <c r="J46" s="10"/>
    </row>
    <row r="47" spans="1:10" x14ac:dyDescent="0.55000000000000004">
      <c r="A47" s="36" t="s">
        <v>85</v>
      </c>
      <c r="B47" s="36"/>
      <c r="C47" s="36"/>
      <c r="D47" s="36"/>
      <c r="E47" s="36"/>
      <c r="F47" s="36"/>
      <c r="G47" s="36"/>
      <c r="H47" s="36"/>
    </row>
    <row r="48" spans="1:10" x14ac:dyDescent="0.55000000000000004">
      <c r="A48" s="36"/>
      <c r="B48" s="36"/>
      <c r="C48" s="36"/>
      <c r="D48" s="36"/>
      <c r="E48" s="36"/>
      <c r="F48" s="36"/>
      <c r="G48" s="36"/>
      <c r="H48" s="36"/>
    </row>
  </sheetData>
  <sheetProtection selectLockedCells="1"/>
  <mergeCells count="5">
    <mergeCell ref="B5:H5"/>
    <mergeCell ref="B6:H6"/>
    <mergeCell ref="A47:H48"/>
    <mergeCell ref="A43:H44"/>
    <mergeCell ref="A45:H46"/>
  </mergeCells>
  <conditionalFormatting sqref="B35">
    <cfRule type="cellIs" dxfId="0" priority="1" operator="greaterThan">
      <formula>0</formula>
    </cfRule>
  </conditionalFormatting>
  <pageMargins left="0.70866141732283472" right="0.70866141732283472" top="0.74803149606299213" bottom="0.74803149606299213" header="0.31496062992125984" footer="0.31496062992125984"/>
  <pageSetup orientation="portrait" r:id="rId1"/>
  <headerFooter>
    <oddFooter>&amp;L&amp;"Montserrat,Regular"&amp;10www.infrapipe.co.nz&amp;R&amp;"Montserrat,Regular"&amp;10 Printed on:&amp;D</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83CEA53AC7FD04EB4C173B0EFF62EA5" ma:contentTypeVersion="13" ma:contentTypeDescription="Create a new document." ma:contentTypeScope="" ma:versionID="57e06d9da1835b90ebc64f29b8803a7a">
  <xsd:schema xmlns:xsd="http://www.w3.org/2001/XMLSchema" xmlns:xs="http://www.w3.org/2001/XMLSchema" xmlns:p="http://schemas.microsoft.com/office/2006/metadata/properties" xmlns:ns2="37b1250c-c365-41e5-ab64-51e899bb3a84" xmlns:ns3="66d4446b-552a-4a27-8d61-8ca5c6aa7b06" targetNamespace="http://schemas.microsoft.com/office/2006/metadata/properties" ma:root="true" ma:fieldsID="5a150f76c2d8b0e6698e03e6aeb4ad41" ns2:_="" ns3:_="">
    <xsd:import namespace="37b1250c-c365-41e5-ab64-51e899bb3a84"/>
    <xsd:import namespace="66d4446b-552a-4a27-8d61-8ca5c6aa7b0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b1250c-c365-41e5-ab64-51e899bb3a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07449c4-974d-4e97-a373-8f78f9f9bb0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6d4446b-552a-4a27-8d61-8ca5c6aa7b0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e7dbbc4-e72f-4184-8af0-3f9d1789471e}" ma:internalName="TaxCatchAll" ma:showField="CatchAllData" ma:web="66d4446b-552a-4a27-8d61-8ca5c6aa7b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7b1250c-c365-41e5-ab64-51e899bb3a84">
      <Terms xmlns="http://schemas.microsoft.com/office/infopath/2007/PartnerControls"/>
    </lcf76f155ced4ddcb4097134ff3c332f>
    <TaxCatchAll xmlns="66d4446b-552a-4a27-8d61-8ca5c6aa7b06" xsi:nil="true"/>
  </documentManagement>
</p:properties>
</file>

<file path=customXml/itemProps1.xml><?xml version="1.0" encoding="utf-8"?>
<ds:datastoreItem xmlns:ds="http://schemas.openxmlformats.org/officeDocument/2006/customXml" ds:itemID="{D24FB2F3-4134-40C5-9542-FBB7CFA413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b1250c-c365-41e5-ab64-51e899bb3a84"/>
    <ds:schemaRef ds:uri="66d4446b-552a-4a27-8d61-8ca5c6aa7b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E65393A-74CC-43CF-88C9-42199756EA45}">
  <ds:schemaRefs>
    <ds:schemaRef ds:uri="http://schemas.microsoft.com/sharepoint/v3/contenttype/forms"/>
  </ds:schemaRefs>
</ds:datastoreItem>
</file>

<file path=customXml/itemProps3.xml><?xml version="1.0" encoding="utf-8"?>
<ds:datastoreItem xmlns:ds="http://schemas.openxmlformats.org/officeDocument/2006/customXml" ds:itemID="{E9EF9247-6B08-48A6-A13B-4091EC7E5790}">
  <ds:schemaRefs>
    <ds:schemaRef ds:uri="http://schemas.microsoft.com/office/2006/metadata/properties"/>
    <ds:schemaRef ds:uri="http://schemas.microsoft.com/office/infopath/2007/PartnerControls"/>
    <ds:schemaRef ds:uri="37b1250c-c365-41e5-ab64-51e899bb3a84"/>
    <ds:schemaRef ds:uri="66d4446b-552a-4a27-8d61-8ca5c6aa7b06"/>
    <ds:schemaRef ds:uri="d4a05e6a-5247-4e97-b452-e2e32019d650"/>
    <ds:schemaRef ds:uri="d4e17bff-a1c9-4e43-91dc-5341a73a08f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Pipe_Buoyancy</vt:lpstr>
      <vt:lpstr>Output Sheet</vt:lpstr>
      <vt:lpstr>Pipe_Buoyancy!Print_Area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Paul Ayers</cp:lastModifiedBy>
  <cp:lastPrinted>2026-08-17T02:04:49Z</cp:lastPrinted>
  <dcterms:created xsi:type="dcterms:W3CDTF">2025-08-26T03:43:29Z</dcterms:created>
  <dcterms:modified xsi:type="dcterms:W3CDTF">2026-08-17T02:06:09Z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0x010100683CEA53AC7FD04EB4C173B0EFF62EA5</vt:lpwstr>
  </property>
  <property fmtid="{D5CDD505-2E9C-101B-9397-08002B2CF9AE}" pid="3" name="MediaServiceImageTags">
    <vt:lpwstr/>
  </property>
</Properties>
</file>